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mbeddings/oleObject1.bin" ContentType="application/vnd.openxmlformats-officedocument.oleObject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9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Larry\Desktop\C2L\c2L 2019\Gary Fenske c2L\"/>
    </mc:Choice>
  </mc:AlternateContent>
  <xr:revisionPtr revIDLastSave="0" documentId="8_{A0D73089-0C65-43A5-811C-0F2F24F26797}" xr6:coauthVersionLast="44" xr6:coauthVersionMax="44" xr10:uidLastSave="{00000000-0000-0000-0000-000000000000}"/>
  <bookViews>
    <workbookView xWindow="-110" yWindow="-110" windowWidth="19420" windowHeight="10420" xr2:uid="{00000000-000D-0000-FFFF-FFFF00000000}"/>
  </bookViews>
  <sheets>
    <sheet name="goals" sheetId="1" r:id="rId1"/>
    <sheet name="Intro" sheetId="4" r:id="rId2"/>
    <sheet name="WFS-AMPS" sheetId="5" r:id="rId3"/>
    <sheet name="Travel speed" sheetId="7" r:id="rId4"/>
    <sheet name="Joules" sheetId="6" r:id="rId5"/>
    <sheet name="estimate new parameters" sheetId="8" r:id="rId6"/>
    <sheet name="area of flare bevel" sheetId="9" r:id="rId7"/>
    <sheet name="weld volume" sheetId="10" r:id="rId8"/>
    <sheet name="weld deposit" sheetId="11" r:id="rId9"/>
    <sheet name="cost" sheetId="12" r:id="rId10"/>
    <sheet name="trig func's" sheetId="2" r:id="rId11"/>
    <sheet name="Sheet3" sheetId="3" r:id="rId12"/>
  </sheets>
  <definedNames>
    <definedName name="_xlnm.Print_Area" localSheetId="6">'area of flare bevel'!$A$2:$M$27</definedName>
    <definedName name="_xlnm.Print_Area" localSheetId="5">'estimate new parameters'!$A$1:$H$36</definedName>
    <definedName name="_xlnm.Print_Area" localSheetId="4">Joules!$A$1:$J$13</definedName>
    <definedName name="_xlnm.Print_Area" localSheetId="3">'Travel speed'!$A$1:$M$43</definedName>
    <definedName name="_xlnm.Print_Area" localSheetId="8">'weld deposit'!$A$1:$J$30</definedName>
    <definedName name="_xlnm.Print_Area" localSheetId="7">'weld volume'!$A$1:$J$22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G29" i="11" l="1"/>
  <c r="G28" i="11"/>
  <c r="G30" i="11" l="1"/>
  <c r="H14" i="12"/>
  <c r="H15" i="12"/>
  <c r="H16" i="12" l="1"/>
  <c r="D17" i="11"/>
  <c r="G16" i="8"/>
  <c r="G14" i="8" s="1"/>
  <c r="C22" i="11"/>
  <c r="F5" i="8" l="1"/>
  <c r="F7" i="8"/>
  <c r="G7" i="8" s="1"/>
  <c r="G15" i="8"/>
  <c r="F6" i="8" s="1"/>
  <c r="G6" i="8" s="1"/>
  <c r="D22" i="11"/>
  <c r="D21" i="11" s="1"/>
  <c r="D23" i="11" s="1"/>
  <c r="C21" i="11"/>
  <c r="C23" i="11" s="1"/>
  <c r="J14" i="10"/>
  <c r="J15" i="10" s="1"/>
  <c r="J21" i="10" s="1"/>
  <c r="H17" i="10"/>
  <c r="J19" i="10" s="1"/>
  <c r="I21" i="9"/>
  <c r="K23" i="9" s="1"/>
  <c r="K18" i="9"/>
  <c r="K19" i="9" s="1"/>
  <c r="G17" i="7"/>
  <c r="F18" i="7" s="1"/>
  <c r="C15" i="7"/>
  <c r="E15" i="7" s="1"/>
  <c r="F17" i="11" l="1"/>
  <c r="F16" i="11"/>
  <c r="C24" i="11" s="1"/>
  <c r="I24" i="11" s="1"/>
  <c r="I25" i="11" s="1"/>
  <c r="G5" i="8"/>
  <c r="D24" i="11"/>
  <c r="J24" i="11" s="1"/>
  <c r="J25" i="11" s="1"/>
  <c r="D15" i="7"/>
  <c r="K25" i="9"/>
  <c r="C16" i="2" l="1"/>
  <c r="B6" i="2"/>
  <c r="B2" i="2"/>
  <c r="B1" i="2"/>
</calcChain>
</file>

<file path=xl/sharedStrings.xml><?xml version="1.0" encoding="utf-8"?>
<sst xmlns="http://schemas.openxmlformats.org/spreadsheetml/2006/main" count="171" uniqueCount="147">
  <si>
    <t>wfs</t>
  </si>
  <si>
    <t>amps</t>
  </si>
  <si>
    <t>volts</t>
  </si>
  <si>
    <t>dia.</t>
  </si>
  <si>
    <t>area</t>
  </si>
  <si>
    <t>pi</t>
  </si>
  <si>
    <t>ipm</t>
  </si>
  <si>
    <t>TAN</t>
  </si>
  <si>
    <t>SIN</t>
  </si>
  <si>
    <t>COS</t>
  </si>
  <si>
    <t>radius</t>
  </si>
  <si>
    <t>power 2</t>
  </si>
  <si>
    <t>Area 0f .035</t>
  </si>
  <si>
    <t>volume .035</t>
  </si>
  <si>
    <t>volume .045 above</t>
  </si>
  <si>
    <t>arc time</t>
  </si>
  <si>
    <t>area inside the bevel angle=</t>
  </si>
  <si>
    <t>bevel angle deg</t>
  </si>
  <si>
    <t>groove depth</t>
  </si>
  <si>
    <t>12000/yr</t>
  </si>
  <si>
    <t>savings</t>
  </si>
  <si>
    <t>circumference  = dia 2.623*pi</t>
  </si>
  <si>
    <t>.035" @ $1.65/lb</t>
  </si>
  <si>
    <t>.045" @ $1.43/lb</t>
  </si>
  <si>
    <t>Weld length=diameter X PI=</t>
  </si>
  <si>
    <t>current weld paramters</t>
  </si>
  <si>
    <t>proposed weld  parameters</t>
  </si>
  <si>
    <t>unacceptable parameters</t>
  </si>
  <si>
    <t>Kjoules</t>
  </si>
  <si>
    <t>Weld time (arc time)=</t>
  </si>
  <si>
    <t>power</t>
  </si>
  <si>
    <t>Inches of wire used/part=</t>
  </si>
  <si>
    <t>(IPM*arctime)/60sec</t>
  </si>
  <si>
    <t>current</t>
  </si>
  <si>
    <t>proposed</t>
  </si>
  <si>
    <t>Calculate the volume of the weld joint</t>
  </si>
  <si>
    <t>Calculate volume of wire in the weld joint</t>
  </si>
  <si>
    <t>circumference  plus 10% overlap</t>
  </si>
  <si>
    <t>Volume of weld</t>
  </si>
  <si>
    <t>weld joint is a flare bevel groove</t>
  </si>
  <si>
    <t xml:space="preserve">The flare is a 3/16" radius </t>
  </si>
  <si>
    <t xml:space="preserve">calculate 1/4 the area of a 3/8 dia circle </t>
  </si>
  <si>
    <t>area of a 1/4" square- 1/4cir</t>
  </si>
  <si>
    <t>total area=</t>
  </si>
  <si>
    <t>Intro</t>
  </si>
  <si>
    <t>The bore for the mating part is machined to correct size.</t>
  </si>
  <si>
    <t>This part has been run in the past with the following weld parameters using .035" weld wire.</t>
  </si>
  <si>
    <t xml:space="preserve">       In this assignment we will determine a new welding parameter  using a larger wire diameter  .045".</t>
  </si>
  <si>
    <t>The reason for the excessive distortion with the higher weld wire speed was due to a higher heat input.</t>
  </si>
  <si>
    <t xml:space="preserve">The next steps you will work with formulas and graphs to insure the process will meet all requirements. </t>
  </si>
  <si>
    <t>Finally we will look at the cost of the wire deposited to see if there is any savings.</t>
  </si>
  <si>
    <t>!. There is a direct relationship between WFS (wire speed feed) and AMPS (current flow).</t>
  </si>
  <si>
    <t>Most modern equipment will display these values while welding.</t>
  </si>
  <si>
    <t>The parameters given come from a robot program and AMPs are not listed.</t>
  </si>
  <si>
    <t xml:space="preserve">By refering to a graph we can make a pretty accurate estimate. </t>
  </si>
  <si>
    <t>Placing a ruler along the axis labeled WIRE FEED SPEED you can delinate the 477.6 ipm as the given .035" .</t>
  </si>
  <si>
    <t xml:space="preserve">Measure upto the right of .035 line. Mark a point then scribe a line across. From the intersection of .035 scribe a line across the amp scale pic3 </t>
  </si>
  <si>
    <t>PIC 1</t>
  </si>
  <si>
    <t>PIC 3</t>
  </si>
  <si>
    <t>PIC 2</t>
  </si>
  <si>
    <t>Next measure in mm down to zero. You will see that it is 50mm.   PIC 2</t>
  </si>
  <si>
    <t>From 400 to 500 10mm is measured intuitively you can see that for every 1 mm there is 10 amps so mark off just below the 8mm line.  PIC 1</t>
  </si>
  <si>
    <t>RATIO</t>
  </si>
  <si>
    <t>To obtain the amps we can cross multiply our known values.</t>
  </si>
  <si>
    <t>From the graph we measured 63.5mm to the 250 amp mark and 59.5mm to our reference line</t>
  </si>
  <si>
    <t>Multiple 250 x 59.5, then divide by 63.5. round up to 234 amps</t>
  </si>
  <si>
    <t>Joules</t>
  </si>
  <si>
    <t xml:space="preserve">       Joules is a measure of energy in the form of heat</t>
  </si>
  <si>
    <t>The equation for Heat input in Kilo Joules/inch is:</t>
  </si>
  <si>
    <t>[(60 sec/min) x (amps) x (volts))] / [(1,000 joules/kilojoule)x(IPM)]= KJ/inch</t>
  </si>
  <si>
    <t>60 x 234 x 25/1000 x25.9</t>
  </si>
  <si>
    <t>=351,000/25,900 =</t>
  </si>
  <si>
    <t>13.552 Kilo Joules</t>
  </si>
  <si>
    <t>Travel Speed IPM (inches per minute)</t>
  </si>
  <si>
    <t>Ten percent added to the circumference will be added in our project.</t>
  </si>
  <si>
    <t>From the print the diameter of the adapter is the centerline of the weld, 2.623"</t>
  </si>
  <si>
    <t>(21/60)*9.06</t>
  </si>
  <si>
    <t>weld length/(IPM/60sec)</t>
  </si>
  <si>
    <t>weld length/(inches per sec)</t>
  </si>
  <si>
    <t>equals</t>
  </si>
  <si>
    <t>Using the chart below choose new amps and voltage for .045 which</t>
  </si>
  <si>
    <t>will have similar  characteristics as the .035</t>
  </si>
  <si>
    <t>Calculate the heat imput to be sure they are close in value.</t>
  </si>
  <si>
    <t xml:space="preserve">To determine the amount of weld wire in the joint the  volume must be calculated </t>
  </si>
  <si>
    <t>From the print we can see the weld joint has a 45deg. Bevel on one side and a .18" radius on the other</t>
  </si>
  <si>
    <t>Find the area of each and add together and multiply by the circumference for total volume.</t>
  </si>
  <si>
    <t>The image depicts the weld deposit.</t>
  </si>
  <si>
    <t>1/2 of the weld on the right is a triangle whose area is 1/2 the width x height</t>
  </si>
  <si>
    <t>(.18 x .18)/2=</t>
  </si>
  <si>
    <t>On the left the radius overlaps the triangle by the amount in the dotted portion of the circle</t>
  </si>
  <si>
    <t>this must be subtracted from the triangle calculation.</t>
  </si>
  <si>
    <t>To find the area find the area of the full circle pi x radius squared radius is .18</t>
  </si>
  <si>
    <t>area=0.1018</t>
  </si>
  <si>
    <t>weld joint volume</t>
  </si>
  <si>
    <t>find 1/4th of the circle area then subtract that amount from the .18 square</t>
  </si>
  <si>
    <t>You can then add this to the other result for the total area of the weld</t>
  </si>
  <si>
    <t>The volume is area x weld length (circumference)</t>
  </si>
  <si>
    <t>circumference is 2PI x radius or PI x diameter</t>
  </si>
  <si>
    <t>dia. = 2.623'</t>
  </si>
  <si>
    <t>2.623 x pi x 0.023153=.19square inch</t>
  </si>
  <si>
    <t>Weld deposition must be slightly larger than the weld joint volume</t>
  </si>
  <si>
    <t>Weld deposition</t>
  </si>
  <si>
    <t>Some weld metal is lost due to spatter.</t>
  </si>
  <si>
    <t>There are a few methods to determine the weight of the wire</t>
  </si>
  <si>
    <t>Weld wire is sold by the pound, smaller diameters costing more.</t>
  </si>
  <si>
    <t>.035 wire</t>
  </si>
  <si>
    <t>3650in./lb</t>
  </si>
  <si>
    <t xml:space="preserve">.045 wire </t>
  </si>
  <si>
    <t>2210in./lb</t>
  </si>
  <si>
    <t>1 cu.in.steel= .2904 lbs</t>
  </si>
  <si>
    <t>estimated</t>
  </si>
  <si>
    <t>original</t>
  </si>
  <si>
    <t>area of a 3/16" square- 1/4cir</t>
  </si>
  <si>
    <t xml:space="preserve">calculate 1/4 the area of a .36 dia circle </t>
  </si>
  <si>
    <t>volume=</t>
  </si>
  <si>
    <t>inches of wire to complete a weld</t>
  </si>
  <si>
    <t>weld length=PI*dia. +10%</t>
  </si>
  <si>
    <t>CU. Inch</t>
  </si>
  <si>
    <t>lbs</t>
  </si>
  <si>
    <t>Too much will cause increase in spatter not enough the weld will have a low area.</t>
  </si>
  <si>
    <t xml:space="preserve"> Also some cratter fill is added.</t>
  </si>
  <si>
    <t>To calculate the heat input it is necessary to know the arc time</t>
  </si>
  <si>
    <t>The part is machined in steps. First the bore diameter for</t>
  </si>
  <si>
    <t xml:space="preserve"> the bearings is machined to a size just a little smaller than the required size.</t>
  </si>
  <si>
    <t>After welding there is always some distortion to the part.</t>
  </si>
  <si>
    <t>You will need to come up  with a parameter that maintains the lower heat</t>
  </si>
  <si>
    <t xml:space="preserve"> while also providing the same metal transfer proocess.</t>
  </si>
  <si>
    <t>Weld Deposit</t>
  </si>
  <si>
    <t xml:space="preserve">Cost </t>
  </si>
  <si>
    <t xml:space="preserve">    Calculates inches of wire used duration of weld for 1 part using the  ratio of ipm to arctime</t>
  </si>
  <si>
    <t>2π =</t>
  </si>
  <si>
    <t>Circumference of a circle</t>
  </si>
  <si>
    <t>The welds start and end must overlap a small amount.</t>
  </si>
  <si>
    <t xml:space="preserve"> Arctime - That portion of the cycle time robot is welding. It does not include any other motion </t>
  </si>
  <si>
    <t xml:space="preserve"> This will be removed asit is machined to the specified sizes on the final operation. </t>
  </si>
  <si>
    <t xml:space="preserve">        Using the unacceptable parameters  weld distortion could not be machined out</t>
  </si>
  <si>
    <t>Students will Learn</t>
  </si>
  <si>
    <t>Formulas</t>
  </si>
  <si>
    <t>2πr =</t>
  </si>
  <si>
    <t>= Area of a circle</t>
  </si>
  <si>
    <t>2πr = circumference of a circle</t>
  </si>
  <si>
    <t>Ratios</t>
  </si>
  <si>
    <t xml:space="preserve">Set up a ratio and cross multiply </t>
  </si>
  <si>
    <t>area * Length = Volume</t>
  </si>
  <si>
    <t>Read graphs</t>
  </si>
  <si>
    <t>Use a ruler to measure lengths in millimeters</t>
  </si>
  <si>
    <t>Use the measurements to set up ratios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</si>
</sst>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1" x14ac:knownFonts="1">
    <font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left"/>
    </xf>
    <xf numFmtId="2" fontId="0" fillId="0" borderId="0" xfId="0" applyNumberFormat="1"/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/>
    </xf>
    <xf numFmtId="2" fontId="0" fillId="0" borderId="0" xfId="0" applyNumberFormat="1" applyAlignment="1">
      <alignment horizontal="center"/>
    </xf>
    <xf numFmtId="0" fontId="0" fillId="0" borderId="0" xfId="0" applyAlignment="1"/>
    <xf numFmtId="3" fontId="0" fillId="0" borderId="0" xfId="0" applyNumberFormat="1"/>
    <xf numFmtId="49" fontId="0" fillId="0" borderId="0" xfId="0" applyNumberFormat="1"/>
    <xf numFmtId="2" fontId="0" fillId="0" borderId="0" xfId="0" applyNumberFormat="1" applyAlignment="1">
      <alignment horizontal="right"/>
    </xf>
    <xf numFmtId="2" fontId="0" fillId="0" borderId="0" xfId="0" applyNumberFormat="1" applyAlignment="1">
      <alignment horizontal="left"/>
    </xf>
    <xf numFmtId="0" fontId="0" fillId="0" borderId="0" xfId="0" applyAlignment="1">
      <alignment horizontal="left" vertical="top"/>
    </xf>
    <xf numFmtId="0" fontId="0" fillId="0" borderId="0" xfId="0" applyBorder="1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6</xdr:row>
      <xdr:rowOff>0</xdr:rowOff>
    </xdr:from>
    <xdr:to>
      <xdr:col>3</xdr:col>
      <xdr:colOff>219075</xdr:colOff>
      <xdr:row>7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8850" y="1143000"/>
          <a:ext cx="2190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466725</xdr:colOff>
      <xdr:row>11</xdr:row>
      <xdr:rowOff>190499</xdr:rowOff>
    </xdr:from>
    <xdr:to>
      <xdr:col>23</xdr:col>
      <xdr:colOff>238125</xdr:colOff>
      <xdr:row>22</xdr:row>
      <xdr:rowOff>28575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12658725" y="1904999"/>
          <a:ext cx="1600200" cy="1933576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11</xdr:row>
      <xdr:rowOff>161926</xdr:rowOff>
    </xdr:from>
    <xdr:to>
      <xdr:col>4</xdr:col>
      <xdr:colOff>238124</xdr:colOff>
      <xdr:row>21</xdr:row>
      <xdr:rowOff>19053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823911" y="1785940"/>
          <a:ext cx="1762127" cy="1943099"/>
        </a:xfrm>
        <a:prstGeom prst="rect">
          <a:avLst/>
        </a:prstGeom>
      </xdr:spPr>
    </xdr:pic>
    <xdr:clientData/>
  </xdr:twoCellAnchor>
  <xdr:twoCellAnchor editAs="oneCell">
    <xdr:from>
      <xdr:col>20</xdr:col>
      <xdr:colOff>504824</xdr:colOff>
      <xdr:row>12</xdr:row>
      <xdr:rowOff>1</xdr:rowOff>
    </xdr:from>
    <xdr:to>
      <xdr:col>20</xdr:col>
      <xdr:colOff>550543</xdr:colOff>
      <xdr:row>22</xdr:row>
      <xdr:rowOff>38101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H="1">
          <a:off x="12696824" y="1905001"/>
          <a:ext cx="45719" cy="1943100"/>
        </a:xfrm>
        <a:prstGeom prst="rect">
          <a:avLst/>
        </a:prstGeom>
      </xdr:spPr>
    </xdr:pic>
    <xdr:clientData/>
  </xdr:twoCellAnchor>
  <xdr:twoCellAnchor editAs="oneCell">
    <xdr:from>
      <xdr:col>4</xdr:col>
      <xdr:colOff>600076</xdr:colOff>
      <xdr:row>11</xdr:row>
      <xdr:rowOff>171450</xdr:rowOff>
    </xdr:from>
    <xdr:to>
      <xdr:col>9</xdr:col>
      <xdr:colOff>171450</xdr:colOff>
      <xdr:row>21</xdr:row>
      <xdr:rowOff>9525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38476" y="1885950"/>
          <a:ext cx="2619374" cy="1743075"/>
        </a:xfrm>
        <a:prstGeom prst="rect">
          <a:avLst/>
        </a:prstGeom>
      </xdr:spPr>
    </xdr:pic>
    <xdr:clientData/>
  </xdr:twoCellAnchor>
  <xdr:twoCellAnchor editAs="oneCell">
    <xdr:from>
      <xdr:col>10</xdr:col>
      <xdr:colOff>9526</xdr:colOff>
      <xdr:row>11</xdr:row>
      <xdr:rowOff>161927</xdr:rowOff>
    </xdr:from>
    <xdr:to>
      <xdr:col>14</xdr:col>
      <xdr:colOff>419100</xdr:colOff>
      <xdr:row>21</xdr:row>
      <xdr:rowOff>16315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05526" y="1876427"/>
          <a:ext cx="2847974" cy="1759388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26</xdr:row>
      <xdr:rowOff>180975</xdr:rowOff>
    </xdr:from>
    <xdr:to>
      <xdr:col>5</xdr:col>
      <xdr:colOff>352425</xdr:colOff>
      <xdr:row>34</xdr:row>
      <xdr:rowOff>28575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2950" y="4943475"/>
          <a:ext cx="2657475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238126</xdr:colOff>
      <xdr:row>28</xdr:row>
      <xdr:rowOff>47625</xdr:rowOff>
    </xdr:from>
    <xdr:to>
      <xdr:col>9</xdr:col>
      <xdr:colOff>447676</xdr:colOff>
      <xdr:row>33</xdr:row>
      <xdr:rowOff>104775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95726" y="5191125"/>
          <a:ext cx="2038350" cy="10096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190501</xdr:colOff>
      <xdr:row>17</xdr:row>
      <xdr:rowOff>19051</xdr:rowOff>
    </xdr:from>
    <xdr:to>
      <xdr:col>8</xdr:col>
      <xdr:colOff>523875</xdr:colOff>
      <xdr:row>37</xdr:row>
      <xdr:rowOff>143556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1" y="2305051"/>
          <a:ext cx="5210174" cy="3934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17</xdr:row>
      <xdr:rowOff>9525</xdr:rowOff>
    </xdr:from>
    <xdr:to>
      <xdr:col>6</xdr:col>
      <xdr:colOff>390525</xdr:colOff>
      <xdr:row>34</xdr:row>
      <xdr:rowOff>161925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3248025"/>
          <a:ext cx="4876800" cy="339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114300</xdr:colOff>
          <xdr:row>4</xdr:row>
          <xdr:rowOff>190500</xdr:rowOff>
        </xdr:from>
        <xdr:to>
          <xdr:col>2</xdr:col>
          <xdr:colOff>431800</xdr:colOff>
          <xdr:row>10</xdr:row>
          <xdr:rowOff>88900</xdr:rowOff>
        </xdr:to>
        <xdr:sp macro="" textlink="">
          <xdr:nvSpPr>
            <xdr:cNvPr id="9218" name="Object 2" hidden="1">
              <a:extLst>
                <a:ext uri="{63B3BB69-23CF-44E3-9099-C40C66FF867C}">
                  <a14:compatExt spid="_x0000_s9218"/>
                </a:ext>
                <a:ext uri="{FF2B5EF4-FFF2-40B4-BE49-F238E27FC236}">
                  <a16:creationId xmlns:a16="http://schemas.microsoft.com/office/drawing/2014/main" id="{00000000-0008-0000-0600-0000022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7</xdr:row>
      <xdr:rowOff>142875</xdr:rowOff>
    </xdr:from>
    <xdr:to>
      <xdr:col>1</xdr:col>
      <xdr:colOff>495300</xdr:colOff>
      <xdr:row>9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533525"/>
          <a:ext cx="4953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1.emf"/><Relationship Id="rId4" Type="http://schemas.openxmlformats.org/officeDocument/2006/relationships/oleObject" Target="../embeddings/oleObject1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M47"/>
  <sheetViews>
    <sheetView tabSelected="1" workbookViewId="0">
      <selection activeCell="B19" sqref="B19"/>
    </sheetView>
  </sheetViews>
  <sheetFormatPr defaultRowHeight="14.5" x14ac:dyDescent="0.35"/>
  <cols>
    <col min="1" max="1" width="14.54296875" style="1" customWidth="1"/>
    <col min="2" max="2" width="9.7265625" customWidth="1"/>
    <col min="4" max="4" width="3.7265625" customWidth="1"/>
    <col min="5" max="5" width="8.453125" style="9" bestFit="1" customWidth="1"/>
    <col min="6" max="6" width="13.7265625" customWidth="1"/>
    <col min="7" max="7" width="9.1796875" style="4"/>
    <col min="8" max="8" width="7" style="2" customWidth="1"/>
    <col min="9" max="9" width="6.453125" style="1" customWidth="1"/>
    <col min="13" max="13" width="9.1796875" style="1"/>
  </cols>
  <sheetData>
    <row r="2" spans="2:7" x14ac:dyDescent="0.35">
      <c r="G2" s="6"/>
    </row>
    <row r="3" spans="2:7" x14ac:dyDescent="0.35">
      <c r="B3" t="s">
        <v>136</v>
      </c>
      <c r="G3" s="6"/>
    </row>
    <row r="4" spans="2:7" x14ac:dyDescent="0.35">
      <c r="G4" s="6"/>
    </row>
    <row r="5" spans="2:7" x14ac:dyDescent="0.35">
      <c r="C5" t="s">
        <v>137</v>
      </c>
    </row>
    <row r="6" spans="2:7" x14ac:dyDescent="0.35">
      <c r="D6" t="s">
        <v>140</v>
      </c>
    </row>
    <row r="7" spans="2:7" x14ac:dyDescent="0.35">
      <c r="E7" s="9" t="s">
        <v>139</v>
      </c>
    </row>
    <row r="8" spans="2:7" x14ac:dyDescent="0.35">
      <c r="D8" t="s">
        <v>69</v>
      </c>
    </row>
    <row r="9" spans="2:7" x14ac:dyDescent="0.35">
      <c r="D9" t="s">
        <v>143</v>
      </c>
    </row>
    <row r="10" spans="2:7" x14ac:dyDescent="0.35">
      <c r="C10" s="3"/>
    </row>
    <row r="11" spans="2:7" x14ac:dyDescent="0.35">
      <c r="C11" s="3" t="s">
        <v>141</v>
      </c>
    </row>
    <row r="12" spans="2:7" x14ac:dyDescent="0.35">
      <c r="D12" t="s">
        <v>142</v>
      </c>
    </row>
    <row r="13" spans="2:7" x14ac:dyDescent="0.35">
      <c r="B13" s="2"/>
    </row>
    <row r="14" spans="2:7" x14ac:dyDescent="0.35">
      <c r="C14" t="s">
        <v>144</v>
      </c>
    </row>
    <row r="15" spans="2:7" x14ac:dyDescent="0.35">
      <c r="D15" t="s">
        <v>145</v>
      </c>
    </row>
    <row r="16" spans="2:7" x14ac:dyDescent="0.35">
      <c r="D16" t="s">
        <v>146</v>
      </c>
    </row>
    <row r="18" spans="1:9" x14ac:dyDescent="0.35">
      <c r="G18" s="1"/>
      <c r="H18"/>
      <c r="I18"/>
    </row>
    <row r="22" spans="1:9" x14ac:dyDescent="0.35">
      <c r="A22"/>
      <c r="G22"/>
    </row>
    <row r="23" spans="1:9" x14ac:dyDescent="0.35">
      <c r="A23"/>
      <c r="G23"/>
    </row>
    <row r="24" spans="1:9" x14ac:dyDescent="0.35">
      <c r="A24"/>
      <c r="G24"/>
    </row>
    <row r="25" spans="1:9" x14ac:dyDescent="0.35">
      <c r="A25"/>
      <c r="G25"/>
    </row>
    <row r="26" spans="1:9" x14ac:dyDescent="0.35">
      <c r="A26"/>
      <c r="G26"/>
    </row>
    <row r="27" spans="1:9" x14ac:dyDescent="0.35">
      <c r="A27"/>
      <c r="G27"/>
      <c r="H27"/>
    </row>
    <row r="28" spans="1:9" x14ac:dyDescent="0.35">
      <c r="A28"/>
      <c r="G28"/>
    </row>
    <row r="29" spans="1:9" x14ac:dyDescent="0.35">
      <c r="A29"/>
      <c r="G29"/>
    </row>
    <row r="30" spans="1:9" x14ac:dyDescent="0.35">
      <c r="A30"/>
      <c r="G30"/>
    </row>
    <row r="31" spans="1:9" x14ac:dyDescent="0.35">
      <c r="A31"/>
      <c r="G31"/>
    </row>
    <row r="33" spans="3:8" x14ac:dyDescent="0.35">
      <c r="H33"/>
    </row>
    <row r="37" spans="3:8" x14ac:dyDescent="0.35">
      <c r="F37" s="2"/>
    </row>
    <row r="38" spans="3:8" x14ac:dyDescent="0.35">
      <c r="F38" s="3"/>
      <c r="G38" s="2"/>
    </row>
    <row r="39" spans="3:8" x14ac:dyDescent="0.35">
      <c r="F39" s="3"/>
    </row>
    <row r="40" spans="3:8" x14ac:dyDescent="0.35">
      <c r="F40" s="3"/>
    </row>
    <row r="41" spans="3:8" x14ac:dyDescent="0.35">
      <c r="F41" s="3"/>
    </row>
    <row r="42" spans="3:8" x14ac:dyDescent="0.35">
      <c r="C42" s="3"/>
      <c r="F42" s="3"/>
    </row>
    <row r="43" spans="3:8" x14ac:dyDescent="0.35">
      <c r="C43" s="3"/>
    </row>
    <row r="44" spans="3:8" x14ac:dyDescent="0.35">
      <c r="F44" s="3"/>
    </row>
    <row r="46" spans="3:8" x14ac:dyDescent="0.35">
      <c r="G46" s="5"/>
    </row>
    <row r="47" spans="3:8" x14ac:dyDescent="0.35">
      <c r="G47" s="5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19"/>
  <sheetViews>
    <sheetView workbookViewId="0">
      <selection activeCell="M7" sqref="M7"/>
    </sheetView>
  </sheetViews>
  <sheetFormatPr defaultRowHeight="14.5" x14ac:dyDescent="0.35"/>
  <cols>
    <col min="1" max="1" width="5.26953125" customWidth="1"/>
    <col min="5" max="5" width="3.7265625" customWidth="1"/>
    <col min="7" max="9" width="9.1796875" style="4"/>
  </cols>
  <sheetData>
    <row r="1" spans="1:9" x14ac:dyDescent="0.35">
      <c r="A1" t="s">
        <v>44</v>
      </c>
    </row>
    <row r="2" spans="1:9" x14ac:dyDescent="0.35">
      <c r="B2" s="7" t="s">
        <v>46</v>
      </c>
    </row>
    <row r="3" spans="1:9" x14ac:dyDescent="0.35">
      <c r="D3" s="1"/>
      <c r="G3" s="4" t="s">
        <v>2</v>
      </c>
      <c r="H3" s="4" t="s">
        <v>0</v>
      </c>
      <c r="I3" s="4" t="s">
        <v>6</v>
      </c>
    </row>
    <row r="4" spans="1:9" x14ac:dyDescent="0.35">
      <c r="D4" s="1" t="s">
        <v>25</v>
      </c>
      <c r="G4" s="4">
        <v>25</v>
      </c>
      <c r="H4" s="4">
        <v>447.6</v>
      </c>
      <c r="I4" s="4">
        <v>21</v>
      </c>
    </row>
    <row r="5" spans="1:9" x14ac:dyDescent="0.35">
      <c r="D5" s="1" t="s">
        <v>27</v>
      </c>
      <c r="G5" s="4">
        <v>27.6</v>
      </c>
      <c r="H5" s="4">
        <v>510</v>
      </c>
      <c r="I5" s="4">
        <v>20</v>
      </c>
    </row>
    <row r="6" spans="1:9" x14ac:dyDescent="0.35">
      <c r="D6" s="1"/>
    </row>
    <row r="7" spans="1:9" x14ac:dyDescent="0.35">
      <c r="D7" s="1"/>
      <c r="F7" t="s">
        <v>122</v>
      </c>
    </row>
    <row r="8" spans="1:9" x14ac:dyDescent="0.35">
      <c r="B8" t="s">
        <v>123</v>
      </c>
    </row>
    <row r="9" spans="1:9" x14ac:dyDescent="0.35">
      <c r="B9" t="s">
        <v>45</v>
      </c>
    </row>
    <row r="10" spans="1:9" x14ac:dyDescent="0.35">
      <c r="B10" t="s">
        <v>124</v>
      </c>
    </row>
    <row r="11" spans="1:9" x14ac:dyDescent="0.35">
      <c r="B11" t="s">
        <v>134</v>
      </c>
    </row>
    <row r="12" spans="1:9" x14ac:dyDescent="0.35">
      <c r="B12" t="s">
        <v>135</v>
      </c>
    </row>
    <row r="14" spans="1:9" x14ac:dyDescent="0.35">
      <c r="B14" t="s">
        <v>47</v>
      </c>
    </row>
    <row r="15" spans="1:9" x14ac:dyDescent="0.35">
      <c r="B15" t="s">
        <v>48</v>
      </c>
    </row>
    <row r="16" spans="1:9" x14ac:dyDescent="0.35">
      <c r="B16" t="s">
        <v>125</v>
      </c>
    </row>
    <row r="17" spans="2:2" x14ac:dyDescent="0.35">
      <c r="B17" t="s">
        <v>126</v>
      </c>
    </row>
    <row r="18" spans="2:2" x14ac:dyDescent="0.35">
      <c r="B18" t="s">
        <v>49</v>
      </c>
    </row>
    <row r="19" spans="2:2" x14ac:dyDescent="0.35">
      <c r="B19" t="s">
        <v>50</v>
      </c>
    </row>
  </sheetData>
  <pageMargins left="0.25" right="0.25" top="0.75" bottom="0.75" header="0.3" footer="0.3"/>
  <pageSetup orientation="portrait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2:L26"/>
  <sheetViews>
    <sheetView zoomScaleNormal="100" workbookViewId="0">
      <selection activeCell="Q22" sqref="Q22"/>
    </sheetView>
  </sheetViews>
  <sheetFormatPr defaultRowHeight="14.5" x14ac:dyDescent="0.35"/>
  <sheetData>
    <row r="2" spans="2:12" x14ac:dyDescent="0.35">
      <c r="B2" t="s">
        <v>51</v>
      </c>
    </row>
    <row r="3" spans="2:12" x14ac:dyDescent="0.35">
      <c r="B3" t="s">
        <v>52</v>
      </c>
    </row>
    <row r="4" spans="2:12" x14ac:dyDescent="0.35">
      <c r="B4" t="s">
        <v>53</v>
      </c>
    </row>
    <row r="5" spans="2:12" x14ac:dyDescent="0.35">
      <c r="B5" t="s">
        <v>54</v>
      </c>
    </row>
    <row r="7" spans="2:12" x14ac:dyDescent="0.35">
      <c r="B7" t="s">
        <v>55</v>
      </c>
    </row>
    <row r="8" spans="2:12" x14ac:dyDescent="0.35">
      <c r="B8" t="s">
        <v>61</v>
      </c>
    </row>
    <row r="9" spans="2:12" x14ac:dyDescent="0.35">
      <c r="B9" t="s">
        <v>60</v>
      </c>
    </row>
    <row r="10" spans="2:12" x14ac:dyDescent="0.35">
      <c r="B10" t="s">
        <v>56</v>
      </c>
    </row>
    <row r="11" spans="2:12" x14ac:dyDescent="0.35">
      <c r="C11" t="s">
        <v>57</v>
      </c>
      <c r="G11" t="s">
        <v>59</v>
      </c>
      <c r="L11" t="s">
        <v>58</v>
      </c>
    </row>
    <row r="23" spans="2:2" x14ac:dyDescent="0.35">
      <c r="B23" t="s">
        <v>62</v>
      </c>
    </row>
    <row r="24" spans="2:2" x14ac:dyDescent="0.35">
      <c r="B24" t="s">
        <v>63</v>
      </c>
    </row>
    <row r="25" spans="2:2" x14ac:dyDescent="0.35">
      <c r="B25" t="s">
        <v>64</v>
      </c>
    </row>
    <row r="26" spans="2:2" x14ac:dyDescent="0.35">
      <c r="B26" t="s">
        <v>65</v>
      </c>
    </row>
  </sheetData>
  <pageMargins left="0.7" right="0.7" top="0.75" bottom="0.75" header="0.3" footer="0.3"/>
  <pageSetup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J18"/>
  <sheetViews>
    <sheetView workbookViewId="0">
      <selection activeCell="B11" sqref="B11"/>
    </sheetView>
  </sheetViews>
  <sheetFormatPr defaultRowHeight="14.5" x14ac:dyDescent="0.35"/>
  <cols>
    <col min="13" max="13" width="11.54296875" customWidth="1"/>
  </cols>
  <sheetData>
    <row r="1" spans="1:10" x14ac:dyDescent="0.35">
      <c r="A1" t="s">
        <v>73</v>
      </c>
    </row>
    <row r="3" spans="1:10" x14ac:dyDescent="0.35">
      <c r="B3" s="14" t="s">
        <v>131</v>
      </c>
      <c r="C3" s="15"/>
      <c r="D3" s="16"/>
      <c r="E3" s="13"/>
    </row>
    <row r="4" spans="1:10" x14ac:dyDescent="0.35">
      <c r="B4" s="17" t="s">
        <v>130</v>
      </c>
      <c r="C4" s="18"/>
      <c r="D4" s="19"/>
      <c r="E4" s="13"/>
    </row>
    <row r="5" spans="1:10" x14ac:dyDescent="0.35">
      <c r="B5" s="13"/>
      <c r="C5" s="13"/>
      <c r="D5" s="13"/>
      <c r="E5" s="13"/>
    </row>
    <row r="6" spans="1:10" x14ac:dyDescent="0.35">
      <c r="B6" t="s">
        <v>121</v>
      </c>
    </row>
    <row r="7" spans="1:10" x14ac:dyDescent="0.35">
      <c r="B7" t="s">
        <v>133</v>
      </c>
    </row>
    <row r="8" spans="1:10" x14ac:dyDescent="0.35">
      <c r="B8" t="s">
        <v>132</v>
      </c>
    </row>
    <row r="9" spans="1:10" x14ac:dyDescent="0.35">
      <c r="B9" t="s">
        <v>119</v>
      </c>
    </row>
    <row r="10" spans="1:10" x14ac:dyDescent="0.35">
      <c r="B10" t="s">
        <v>120</v>
      </c>
    </row>
    <row r="11" spans="1:10" x14ac:dyDescent="0.35">
      <c r="B11" t="s">
        <v>74</v>
      </c>
    </row>
    <row r="13" spans="1:10" x14ac:dyDescent="0.35">
      <c r="B13" t="s">
        <v>75</v>
      </c>
    </row>
    <row r="14" spans="1:10" x14ac:dyDescent="0.35">
      <c r="B14" s="1"/>
      <c r="D14" s="1" t="s">
        <v>24</v>
      </c>
      <c r="E14" t="s">
        <v>3</v>
      </c>
      <c r="F14" t="s">
        <v>5</v>
      </c>
      <c r="G14" s="2" t="s">
        <v>21</v>
      </c>
      <c r="H14" s="4"/>
      <c r="I14" s="2"/>
      <c r="J14" s="1"/>
    </row>
    <row r="15" spans="1:10" x14ac:dyDescent="0.35">
      <c r="B15">
        <v>2.6230000000000002</v>
      </c>
      <c r="C15">
        <f>PI()</f>
        <v>3.1415926535897931</v>
      </c>
      <c r="D15">
        <f>B15*C15</f>
        <v>8.2403975303660282</v>
      </c>
      <c r="E15" s="3">
        <f>(B15*C15)*1.1</f>
        <v>9.064437283402631</v>
      </c>
      <c r="F15" s="2" t="s">
        <v>37</v>
      </c>
      <c r="J15" s="1"/>
    </row>
    <row r="16" spans="1:10" x14ac:dyDescent="0.35">
      <c r="D16" s="1" t="s">
        <v>29</v>
      </c>
      <c r="E16" t="s">
        <v>78</v>
      </c>
    </row>
    <row r="17" spans="4:7" x14ac:dyDescent="0.35">
      <c r="D17" s="1"/>
      <c r="E17" t="s">
        <v>76</v>
      </c>
      <c r="F17" s="10" t="s">
        <v>79</v>
      </c>
      <c r="G17" s="2">
        <f>(21/60)</f>
        <v>0.35</v>
      </c>
    </row>
    <row r="18" spans="4:7" x14ac:dyDescent="0.35">
      <c r="D18" s="1"/>
      <c r="F18" s="3">
        <f>9.06/G17</f>
        <v>25.88571428571429</v>
      </c>
      <c r="G18" s="2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H9"/>
  <sheetViews>
    <sheetView workbookViewId="0">
      <selection activeCell="C4" sqref="C4"/>
    </sheetView>
  </sheetViews>
  <sheetFormatPr defaultRowHeight="14.5" x14ac:dyDescent="0.35"/>
  <cols>
    <col min="3" max="3" width="8.1796875" customWidth="1"/>
    <col min="4" max="4" width="6.81640625" customWidth="1"/>
    <col min="5" max="5" width="6.54296875" customWidth="1"/>
    <col min="6" max="6" width="9.1796875" style="9"/>
  </cols>
  <sheetData>
    <row r="1" spans="1:8" x14ac:dyDescent="0.35">
      <c r="A1" t="s">
        <v>66</v>
      </c>
    </row>
    <row r="2" spans="1:8" x14ac:dyDescent="0.35">
      <c r="B2" t="s">
        <v>67</v>
      </c>
    </row>
    <row r="3" spans="1:8" x14ac:dyDescent="0.35">
      <c r="B3" t="s">
        <v>68</v>
      </c>
    </row>
    <row r="4" spans="1:8" x14ac:dyDescent="0.35">
      <c r="C4" t="s">
        <v>69</v>
      </c>
    </row>
    <row r="6" spans="1:8" x14ac:dyDescent="0.35">
      <c r="B6" t="s">
        <v>1</v>
      </c>
      <c r="C6" s="4" t="s">
        <v>2</v>
      </c>
      <c r="D6" s="4" t="s">
        <v>0</v>
      </c>
      <c r="E6" s="4" t="s">
        <v>6</v>
      </c>
    </row>
    <row r="7" spans="1:8" x14ac:dyDescent="0.35">
      <c r="B7">
        <v>234</v>
      </c>
      <c r="C7" s="4">
        <v>25</v>
      </c>
      <c r="D7" s="4">
        <v>447.6</v>
      </c>
      <c r="E7" s="4">
        <v>21</v>
      </c>
    </row>
    <row r="9" spans="1:8" x14ac:dyDescent="0.35">
      <c r="C9" t="s">
        <v>70</v>
      </c>
      <c r="F9" s="9" t="s">
        <v>71</v>
      </c>
      <c r="G9" s="8"/>
      <c r="H9" t="s">
        <v>72</v>
      </c>
    </row>
  </sheetData>
  <pageMargins left="0.7" right="0.7" top="0.75" bottom="0.75" header="0.3" footer="0.3"/>
  <pageSetup orientation="portrait" horizontalDpi="0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4:M19"/>
  <sheetViews>
    <sheetView workbookViewId="0">
      <selection sqref="A1:H36"/>
    </sheetView>
  </sheetViews>
  <sheetFormatPr defaultRowHeight="14.5" x14ac:dyDescent="0.35"/>
  <cols>
    <col min="1" max="1" width="25.7265625" customWidth="1"/>
  </cols>
  <sheetData>
    <row r="4" spans="1:13" x14ac:dyDescent="0.35">
      <c r="A4" s="1"/>
      <c r="B4" t="s">
        <v>1</v>
      </c>
      <c r="C4" t="s">
        <v>2</v>
      </c>
      <c r="D4" t="s">
        <v>0</v>
      </c>
      <c r="E4" t="s">
        <v>6</v>
      </c>
      <c r="F4" s="4" t="s">
        <v>15</v>
      </c>
      <c r="G4" s="1" t="s">
        <v>28</v>
      </c>
    </row>
    <row r="5" spans="1:13" x14ac:dyDescent="0.35">
      <c r="A5" s="4" t="s">
        <v>25</v>
      </c>
      <c r="B5">
        <v>234</v>
      </c>
      <c r="C5">
        <v>25</v>
      </c>
      <c r="D5">
        <v>447.6</v>
      </c>
      <c r="E5">
        <v>20.5</v>
      </c>
      <c r="F5" s="6">
        <f>G14</f>
        <v>26.530060341666236</v>
      </c>
      <c r="G5" s="1">
        <f>(60*B5*C5)/1000*F5</f>
        <v>9312.0511799248488</v>
      </c>
      <c r="H5">
        <v>3.5000000000000003E-2</v>
      </c>
    </row>
    <row r="6" spans="1:13" x14ac:dyDescent="0.35">
      <c r="A6" s="2" t="s">
        <v>26</v>
      </c>
      <c r="B6">
        <v>220</v>
      </c>
      <c r="C6">
        <v>26</v>
      </c>
      <c r="D6">
        <v>275</v>
      </c>
      <c r="E6">
        <v>20.5</v>
      </c>
      <c r="F6" s="6">
        <f>G15</f>
        <v>26.530060341666236</v>
      </c>
      <c r="G6" s="1">
        <f>(60*B6*C6)/1000*F6</f>
        <v>9105.1167092598516</v>
      </c>
      <c r="H6">
        <v>4.4999999999999998E-2</v>
      </c>
    </row>
    <row r="7" spans="1:13" x14ac:dyDescent="0.35">
      <c r="A7" s="2" t="s">
        <v>27</v>
      </c>
      <c r="B7">
        <v>242</v>
      </c>
      <c r="C7">
        <v>27.6</v>
      </c>
      <c r="D7">
        <v>510</v>
      </c>
      <c r="E7">
        <v>20</v>
      </c>
      <c r="F7" s="6">
        <f>G14</f>
        <v>26.530060341666236</v>
      </c>
      <c r="G7" s="1">
        <f>(60*B7*C7)/1000*F7</f>
        <v>10631.974742043427</v>
      </c>
      <c r="H7">
        <v>3.5000000000000003E-2</v>
      </c>
    </row>
    <row r="8" spans="1:13" x14ac:dyDescent="0.35">
      <c r="A8" s="1"/>
      <c r="F8" s="4"/>
      <c r="G8" s="2"/>
      <c r="H8" s="1"/>
      <c r="M8" s="1"/>
    </row>
    <row r="10" spans="1:13" x14ac:dyDescent="0.35">
      <c r="B10" t="s">
        <v>80</v>
      </c>
    </row>
    <row r="11" spans="1:13" x14ac:dyDescent="0.35">
      <c r="B11" t="s">
        <v>81</v>
      </c>
    </row>
    <row r="12" spans="1:13" x14ac:dyDescent="0.35">
      <c r="B12" t="s">
        <v>82</v>
      </c>
    </row>
    <row r="14" spans="1:13" x14ac:dyDescent="0.35">
      <c r="F14" s="1" t="s">
        <v>29</v>
      </c>
      <c r="G14">
        <f>G16/(E5/60)</f>
        <v>26.530060341666236</v>
      </c>
      <c r="H14" t="s">
        <v>33</v>
      </c>
      <c r="K14" s="1"/>
      <c r="M14" s="3"/>
    </row>
    <row r="15" spans="1:13" x14ac:dyDescent="0.35">
      <c r="D15" t="s">
        <v>77</v>
      </c>
      <c r="G15">
        <f>G16/(E6/60)</f>
        <v>26.530060341666236</v>
      </c>
      <c r="H15" t="s">
        <v>34</v>
      </c>
      <c r="K15" s="1"/>
      <c r="M15" s="3"/>
    </row>
    <row r="16" spans="1:13" x14ac:dyDescent="0.35">
      <c r="D16" t="s">
        <v>116</v>
      </c>
      <c r="G16" s="3">
        <f>(2.623*PI())*1.1</f>
        <v>9.064437283402631</v>
      </c>
      <c r="K16" s="1"/>
      <c r="M16" s="3"/>
    </row>
    <row r="17" spans="11:13" x14ac:dyDescent="0.35">
      <c r="K17" s="1"/>
      <c r="M17" s="3"/>
    </row>
    <row r="18" spans="11:13" x14ac:dyDescent="0.35">
      <c r="K18" s="1"/>
      <c r="M18" s="3"/>
    </row>
    <row r="19" spans="11:13" x14ac:dyDescent="0.35">
      <c r="K19" s="1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M29"/>
  <sheetViews>
    <sheetView workbookViewId="0">
      <selection activeCell="A2" sqref="A2:M27"/>
    </sheetView>
  </sheetViews>
  <sheetFormatPr defaultRowHeight="14.5" x14ac:dyDescent="0.35"/>
  <sheetData>
    <row r="2" spans="2:13" x14ac:dyDescent="0.35">
      <c r="B2" t="s">
        <v>83</v>
      </c>
    </row>
    <row r="3" spans="2:13" x14ac:dyDescent="0.35">
      <c r="B3" t="s">
        <v>84</v>
      </c>
    </row>
    <row r="4" spans="2:13" x14ac:dyDescent="0.35">
      <c r="B4" t="s">
        <v>85</v>
      </c>
    </row>
    <row r="6" spans="2:13" x14ac:dyDescent="0.35">
      <c r="D6" t="s">
        <v>86</v>
      </c>
    </row>
    <row r="7" spans="2:13" x14ac:dyDescent="0.35">
      <c r="D7" t="s">
        <v>87</v>
      </c>
      <c r="L7" t="s">
        <v>88</v>
      </c>
      <c r="M7">
        <v>1.6199999999999999E-2</v>
      </c>
    </row>
    <row r="8" spans="2:13" x14ac:dyDescent="0.35">
      <c r="D8" t="s">
        <v>89</v>
      </c>
    </row>
    <row r="9" spans="2:13" x14ac:dyDescent="0.35">
      <c r="D9" t="s">
        <v>90</v>
      </c>
    </row>
    <row r="10" spans="2:13" x14ac:dyDescent="0.35">
      <c r="D10" t="s">
        <v>91</v>
      </c>
      <c r="L10" t="s">
        <v>92</v>
      </c>
    </row>
    <row r="11" spans="2:13" x14ac:dyDescent="0.35">
      <c r="D11" t="s">
        <v>94</v>
      </c>
    </row>
    <row r="12" spans="2:13" x14ac:dyDescent="0.35">
      <c r="D12" t="s">
        <v>95</v>
      </c>
    </row>
    <row r="15" spans="2:13" x14ac:dyDescent="0.35">
      <c r="C15" t="s">
        <v>35</v>
      </c>
      <c r="H15" s="4"/>
      <c r="I15" s="2"/>
      <c r="J15" s="1"/>
    </row>
    <row r="16" spans="2:13" x14ac:dyDescent="0.35">
      <c r="D16" t="s">
        <v>38</v>
      </c>
      <c r="I16" s="2"/>
      <c r="J16" s="1"/>
    </row>
    <row r="17" spans="3:11" x14ac:dyDescent="0.35">
      <c r="C17" t="s">
        <v>39</v>
      </c>
      <c r="I17" s="2"/>
      <c r="J17" s="1"/>
    </row>
    <row r="18" spans="3:11" x14ac:dyDescent="0.35">
      <c r="C18" t="s">
        <v>40</v>
      </c>
      <c r="G18" t="s">
        <v>41</v>
      </c>
      <c r="I18" s="2"/>
      <c r="J18" s="1"/>
      <c r="K18">
        <f>(POWER(0.18,2)*PI())/4</f>
        <v>2.5446900494077322E-2</v>
      </c>
    </row>
    <row r="19" spans="3:11" x14ac:dyDescent="0.35">
      <c r="G19" t="s">
        <v>42</v>
      </c>
      <c r="I19" s="2"/>
      <c r="J19" s="1"/>
      <c r="K19">
        <f>POWER(0.18,2)-K18</f>
        <v>6.9530995059226761E-3</v>
      </c>
    </row>
    <row r="20" spans="3:11" x14ac:dyDescent="0.35">
      <c r="I20" s="2"/>
      <c r="J20" s="1"/>
    </row>
    <row r="21" spans="3:11" x14ac:dyDescent="0.35">
      <c r="C21" t="s">
        <v>16</v>
      </c>
      <c r="G21" t="s">
        <v>17</v>
      </c>
      <c r="H21">
        <v>45</v>
      </c>
      <c r="I21">
        <f>(TAN(H21*(PI()/180)))*0.18</f>
        <v>0.17999999999999997</v>
      </c>
      <c r="J21" s="1"/>
    </row>
    <row r="22" spans="3:11" x14ac:dyDescent="0.35">
      <c r="G22" t="s">
        <v>18</v>
      </c>
      <c r="H22">
        <v>0.18</v>
      </c>
      <c r="I22" s="2"/>
      <c r="J22" s="1"/>
    </row>
    <row r="23" spans="3:11" x14ac:dyDescent="0.35">
      <c r="G23" t="s">
        <v>4</v>
      </c>
      <c r="I23" s="2"/>
      <c r="J23" s="1"/>
      <c r="K23">
        <f>1/2*I21*H22</f>
        <v>1.6199999999999996E-2</v>
      </c>
    </row>
    <row r="24" spans="3:11" x14ac:dyDescent="0.35">
      <c r="I24" s="2"/>
      <c r="J24" s="1"/>
    </row>
    <row r="25" spans="3:11" x14ac:dyDescent="0.35">
      <c r="I25" s="2"/>
      <c r="J25" s="1" t="s">
        <v>43</v>
      </c>
      <c r="K25">
        <f>K19+K23</f>
        <v>2.3153099505922672E-2</v>
      </c>
    </row>
    <row r="26" spans="3:11" x14ac:dyDescent="0.35">
      <c r="H26" s="4"/>
      <c r="I26" s="2"/>
      <c r="J26" s="1"/>
    </row>
    <row r="27" spans="3:11" x14ac:dyDescent="0.35">
      <c r="H27" s="4"/>
      <c r="J27" s="1"/>
    </row>
    <row r="28" spans="3:11" x14ac:dyDescent="0.35">
      <c r="H28" s="4"/>
      <c r="I28" s="2"/>
      <c r="J28" s="1"/>
    </row>
    <row r="29" spans="3:11" x14ac:dyDescent="0.35">
      <c r="H29" s="4"/>
      <c r="I29" s="2"/>
      <c r="J29" s="1"/>
    </row>
  </sheetData>
  <pageMargins left="0.7" right="0.7" top="0.75" bottom="0.75" header="0.3" footer="0.3"/>
  <pageSetup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218" r:id="rId4">
          <objectPr defaultSize="0" autoPict="0" r:id="rId5">
            <anchor moveWithCells="1">
              <from>
                <xdr:col>0</xdr:col>
                <xdr:colOff>114300</xdr:colOff>
                <xdr:row>4</xdr:row>
                <xdr:rowOff>190500</xdr:rowOff>
              </from>
              <to>
                <xdr:col>2</xdr:col>
                <xdr:colOff>431800</xdr:colOff>
                <xdr:row>10</xdr:row>
                <xdr:rowOff>88900</xdr:rowOff>
              </to>
            </anchor>
          </objectPr>
        </oleObject>
      </mc:Choice>
      <mc:Fallback>
        <oleObject shapeId="9218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J22"/>
  <sheetViews>
    <sheetView workbookViewId="0">
      <selection sqref="A1:J22"/>
    </sheetView>
  </sheetViews>
  <sheetFormatPr defaultRowHeight="14.5" x14ac:dyDescent="0.35"/>
  <cols>
    <col min="1" max="1" width="5.1796875" customWidth="1"/>
    <col min="4" max="4" width="6.1796875" customWidth="1"/>
  </cols>
  <sheetData>
    <row r="1" spans="1:10" x14ac:dyDescent="0.35">
      <c r="A1" t="s">
        <v>93</v>
      </c>
    </row>
    <row r="2" spans="1:10" x14ac:dyDescent="0.35">
      <c r="A2" s="3"/>
      <c r="B2" s="3"/>
      <c r="C2" s="3"/>
    </row>
    <row r="3" spans="1:10" x14ac:dyDescent="0.35">
      <c r="A3" s="3"/>
      <c r="B3" s="11" t="s">
        <v>96</v>
      </c>
      <c r="C3" s="3"/>
      <c r="G3" s="3"/>
      <c r="H3" s="2"/>
      <c r="I3" s="2"/>
      <c r="J3" s="1"/>
    </row>
    <row r="4" spans="1:10" x14ac:dyDescent="0.35">
      <c r="A4" s="3"/>
      <c r="B4" s="10"/>
      <c r="C4" s="3"/>
      <c r="G4" s="3"/>
      <c r="H4" s="4"/>
      <c r="I4" s="2"/>
      <c r="J4" s="1"/>
    </row>
    <row r="5" spans="1:10" x14ac:dyDescent="0.35">
      <c r="A5" s="3"/>
      <c r="B5" s="11" t="s">
        <v>97</v>
      </c>
      <c r="C5" s="3"/>
      <c r="G5" s="3"/>
      <c r="H5" s="4"/>
      <c r="I5" s="2"/>
      <c r="J5" s="1"/>
    </row>
    <row r="6" spans="1:10" x14ac:dyDescent="0.35">
      <c r="B6" s="12"/>
    </row>
    <row r="7" spans="1:10" x14ac:dyDescent="0.35">
      <c r="B7" t="s">
        <v>98</v>
      </c>
    </row>
    <row r="8" spans="1:10" x14ac:dyDescent="0.35">
      <c r="B8" t="s">
        <v>99</v>
      </c>
    </row>
    <row r="11" spans="1:10" x14ac:dyDescent="0.35">
      <c r="A11" s="1"/>
      <c r="B11" t="s">
        <v>35</v>
      </c>
      <c r="G11" s="4"/>
      <c r="H11" s="2"/>
      <c r="I11" s="1"/>
    </row>
    <row r="12" spans="1:10" x14ac:dyDescent="0.35">
      <c r="C12" t="s">
        <v>38</v>
      </c>
      <c r="H12" s="2"/>
      <c r="I12" s="1"/>
    </row>
    <row r="13" spans="1:10" x14ac:dyDescent="0.35">
      <c r="B13" t="s">
        <v>39</v>
      </c>
      <c r="H13" s="2"/>
      <c r="I13" s="1"/>
    </row>
    <row r="14" spans="1:10" x14ac:dyDescent="0.35">
      <c r="B14" t="s">
        <v>40</v>
      </c>
      <c r="F14" t="s">
        <v>113</v>
      </c>
      <c r="H14" s="2"/>
      <c r="I14" s="1"/>
      <c r="J14">
        <f>(POWER(0.18,2)*PI())/4</f>
        <v>2.5446900494077322E-2</v>
      </c>
    </row>
    <row r="15" spans="1:10" x14ac:dyDescent="0.35">
      <c r="F15" t="s">
        <v>112</v>
      </c>
      <c r="H15" s="2"/>
      <c r="I15" s="1"/>
      <c r="J15">
        <f>POWER(0.18,2)-J14</f>
        <v>6.9530995059226761E-3</v>
      </c>
    </row>
    <row r="16" spans="1:10" x14ac:dyDescent="0.35">
      <c r="H16" s="2"/>
      <c r="I16" s="1"/>
    </row>
    <row r="17" spans="1:10" x14ac:dyDescent="0.35">
      <c r="B17" t="s">
        <v>16</v>
      </c>
      <c r="F17" t="s">
        <v>17</v>
      </c>
      <c r="G17">
        <v>45</v>
      </c>
      <c r="H17">
        <f>(TAN(G17*(PI()/180)))*0.18</f>
        <v>0.17999999999999997</v>
      </c>
      <c r="I17" s="1"/>
    </row>
    <row r="18" spans="1:10" x14ac:dyDescent="0.35">
      <c r="F18" t="s">
        <v>18</v>
      </c>
      <c r="G18">
        <v>0.18</v>
      </c>
      <c r="H18" s="2"/>
      <c r="I18" s="1"/>
    </row>
    <row r="19" spans="1:10" x14ac:dyDescent="0.35">
      <c r="F19" t="s">
        <v>4</v>
      </c>
      <c r="H19" s="2"/>
      <c r="I19" s="1"/>
      <c r="J19">
        <f>1/2*H17*G18</f>
        <v>1.6199999999999996E-2</v>
      </c>
    </row>
    <row r="20" spans="1:10" x14ac:dyDescent="0.35">
      <c r="H20" s="2"/>
      <c r="I20" s="1"/>
    </row>
    <row r="21" spans="1:10" x14ac:dyDescent="0.35">
      <c r="B21" t="s">
        <v>43</v>
      </c>
      <c r="H21" s="2"/>
      <c r="I21" s="1"/>
      <c r="J21">
        <f>J15+J19</f>
        <v>2.3153099505922672E-2</v>
      </c>
    </row>
    <row r="22" spans="1:10" x14ac:dyDescent="0.35">
      <c r="A22" s="1"/>
      <c r="B22" t="s">
        <v>114</v>
      </c>
      <c r="G22" s="4"/>
      <c r="H22" s="2"/>
      <c r="I22" s="1"/>
      <c r="J22">
        <v>0.19</v>
      </c>
    </row>
  </sheetData>
  <pageMargins left="0.7" right="0.7" top="0.75" bottom="0.75" header="0.3" footer="0.3"/>
  <pageSetup orientation="portrait" horizontalDpi="0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30"/>
  <sheetViews>
    <sheetView workbookViewId="0">
      <selection activeCell="N19" sqref="N19"/>
    </sheetView>
  </sheetViews>
  <sheetFormatPr defaultRowHeight="14.5" x14ac:dyDescent="0.35"/>
  <cols>
    <col min="1" max="1" width="6.1796875" customWidth="1"/>
    <col min="2" max="2" width="8.81640625" customWidth="1"/>
  </cols>
  <sheetData>
    <row r="1" spans="1:10" x14ac:dyDescent="0.35">
      <c r="A1" t="s">
        <v>101</v>
      </c>
    </row>
    <row r="3" spans="1:10" x14ac:dyDescent="0.35">
      <c r="B3" t="s">
        <v>100</v>
      </c>
    </row>
    <row r="4" spans="1:10" x14ac:dyDescent="0.35">
      <c r="B4" t="s">
        <v>102</v>
      </c>
    </row>
    <row r="6" spans="1:10" x14ac:dyDescent="0.35">
      <c r="B6" t="s">
        <v>103</v>
      </c>
    </row>
    <row r="7" spans="1:10" x14ac:dyDescent="0.35">
      <c r="B7" t="s">
        <v>104</v>
      </c>
    </row>
    <row r="9" spans="1:10" x14ac:dyDescent="0.35">
      <c r="B9" t="s">
        <v>105</v>
      </c>
      <c r="C9" t="s">
        <v>106</v>
      </c>
    </row>
    <row r="10" spans="1:10" x14ac:dyDescent="0.35">
      <c r="B10" t="s">
        <v>107</v>
      </c>
      <c r="C10" t="s">
        <v>108</v>
      </c>
    </row>
    <row r="11" spans="1:10" x14ac:dyDescent="0.35">
      <c r="A11" t="s">
        <v>127</v>
      </c>
    </row>
    <row r="12" spans="1:10" x14ac:dyDescent="0.35">
      <c r="B12" t="s">
        <v>109</v>
      </c>
    </row>
    <row r="14" spans="1:10" x14ac:dyDescent="0.35">
      <c r="B14" t="s">
        <v>129</v>
      </c>
      <c r="H14" s="4"/>
      <c r="I14" s="2"/>
      <c r="J14" s="1"/>
    </row>
    <row r="15" spans="1:10" x14ac:dyDescent="0.35">
      <c r="B15" s="2" t="s">
        <v>31</v>
      </c>
      <c r="E15" t="s">
        <v>32</v>
      </c>
      <c r="H15" s="4"/>
      <c r="I15" s="2"/>
      <c r="J15" s="1"/>
    </row>
    <row r="16" spans="1:10" x14ac:dyDescent="0.35">
      <c r="B16" s="1" t="s">
        <v>111</v>
      </c>
      <c r="C16">
        <v>3.5000000000000003E-2</v>
      </c>
      <c r="D16" s="3">
        <v>447.6</v>
      </c>
      <c r="F16">
        <f>(D16*'estimate new parameters'!F5)/60</f>
        <v>197.91425014883012</v>
      </c>
      <c r="G16" t="s">
        <v>115</v>
      </c>
      <c r="H16" s="4"/>
      <c r="I16" s="2"/>
      <c r="J16" s="1"/>
    </row>
    <row r="17" spans="2:10" x14ac:dyDescent="0.35">
      <c r="B17" s="1" t="s">
        <v>110</v>
      </c>
      <c r="C17">
        <v>4.4999999999999998E-2</v>
      </c>
      <c r="D17" s="3">
        <f>'estimate new parameters'!D6</f>
        <v>275</v>
      </c>
      <c r="F17">
        <f>((D17/60)*'estimate new parameters'!F6)</f>
        <v>121.59610989930357</v>
      </c>
      <c r="H17" s="4"/>
      <c r="I17" s="2"/>
      <c r="J17" s="1"/>
    </row>
    <row r="18" spans="2:10" x14ac:dyDescent="0.35">
      <c r="B18" s="1"/>
      <c r="H18" s="4"/>
      <c r="I18" s="2"/>
      <c r="J18" s="1"/>
    </row>
    <row r="19" spans="2:10" x14ac:dyDescent="0.35">
      <c r="B19" s="1"/>
      <c r="C19" s="2" t="s">
        <v>36</v>
      </c>
      <c r="H19" s="4"/>
      <c r="I19" s="2"/>
      <c r="J19" s="1"/>
    </row>
    <row r="20" spans="2:10" x14ac:dyDescent="0.35">
      <c r="B20" s="1"/>
      <c r="H20" s="4"/>
      <c r="I20" s="2"/>
      <c r="J20" s="1"/>
    </row>
    <row r="21" spans="2:10" x14ac:dyDescent="0.35">
      <c r="B21" s="1" t="s">
        <v>11</v>
      </c>
      <c r="C21">
        <f>POWER(C22,2)</f>
        <v>3.0625000000000004E-4</v>
      </c>
      <c r="D21">
        <f>POWER(D22,2)</f>
        <v>5.0624999999999997E-4</v>
      </c>
      <c r="H21" s="4"/>
      <c r="I21" s="2"/>
      <c r="J21" s="1"/>
    </row>
    <row r="22" spans="2:10" x14ac:dyDescent="0.35">
      <c r="B22" s="1" t="s">
        <v>10</v>
      </c>
      <c r="C22">
        <f>F22/2</f>
        <v>1.7500000000000002E-2</v>
      </c>
      <c r="D22">
        <f>G22/2</f>
        <v>2.2499999999999999E-2</v>
      </c>
      <c r="F22">
        <v>3.5000000000000003E-2</v>
      </c>
      <c r="G22">
        <v>4.4999999999999998E-2</v>
      </c>
      <c r="H22" s="4"/>
      <c r="I22" s="2"/>
      <c r="J22" s="1"/>
    </row>
    <row r="23" spans="2:10" x14ac:dyDescent="0.35">
      <c r="B23" s="1" t="s">
        <v>12</v>
      </c>
      <c r="C23">
        <f>(C21*(PI()))</f>
        <v>9.6211275016187424E-4</v>
      </c>
      <c r="D23">
        <f>(D21*(PI()))</f>
        <v>1.5904312808798326E-3</v>
      </c>
      <c r="H23" s="4"/>
      <c r="I23" s="2">
        <v>3.5000000000000003E-2</v>
      </c>
      <c r="J23" s="1">
        <v>4.4999999999999998E-2</v>
      </c>
    </row>
    <row r="24" spans="2:10" x14ac:dyDescent="0.35">
      <c r="B24" s="1" t="s">
        <v>13</v>
      </c>
      <c r="C24">
        <f>C23*F16</f>
        <v>0.19041582350691608</v>
      </c>
      <c r="D24">
        <f>D23*F17</f>
        <v>0.19339025681715427</v>
      </c>
      <c r="H24" s="1" t="s">
        <v>117</v>
      </c>
      <c r="I24">
        <f>C24</f>
        <v>0.19041582350691608</v>
      </c>
      <c r="J24">
        <f>D24</f>
        <v>0.19339025681715427</v>
      </c>
    </row>
    <row r="25" spans="2:10" x14ac:dyDescent="0.35">
      <c r="B25" s="1"/>
      <c r="D25" t="s">
        <v>14</v>
      </c>
      <c r="H25" s="4" t="s">
        <v>118</v>
      </c>
      <c r="I25" s="2">
        <f>I24*0.2904</f>
        <v>5.529675514640843E-2</v>
      </c>
      <c r="J25" s="1">
        <f>J24*0.2904</f>
        <v>5.6160530579701599E-2</v>
      </c>
    </row>
    <row r="27" spans="2:10" x14ac:dyDescent="0.35">
      <c r="B27" s="1" t="s">
        <v>128</v>
      </c>
    </row>
    <row r="28" spans="2:10" x14ac:dyDescent="0.35">
      <c r="B28" s="1"/>
      <c r="D28" s="1" t="s">
        <v>19</v>
      </c>
      <c r="F28" s="3">
        <v>5.5289999999999999E-2</v>
      </c>
      <c r="G28" s="4">
        <f>(F28*1.65)*12000</f>
        <v>1094.742</v>
      </c>
      <c r="H28" s="2" t="s">
        <v>22</v>
      </c>
      <c r="I28" s="1"/>
    </row>
    <row r="29" spans="2:10" x14ac:dyDescent="0.35">
      <c r="B29" s="1"/>
      <c r="F29" s="3">
        <v>5.6160000000000002E-2</v>
      </c>
      <c r="G29" s="4">
        <f>(F29*1.43)*12000</f>
        <v>963.7056</v>
      </c>
      <c r="H29" s="2" t="s">
        <v>23</v>
      </c>
      <c r="I29" s="1"/>
    </row>
    <row r="30" spans="2:10" x14ac:dyDescent="0.35">
      <c r="G30" s="5">
        <f>G28-G29</f>
        <v>131.03639999999996</v>
      </c>
      <c r="H30" s="2" t="s">
        <v>20</v>
      </c>
      <c r="I30" s="1"/>
    </row>
  </sheetData>
  <pageMargins left="0.7" right="0.7" top="0.75" bottom="0.75" header="0.3" footer="0.3"/>
  <pageSetup orientation="portrait" horizontalDpi="0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4:J19"/>
  <sheetViews>
    <sheetView workbookViewId="0">
      <selection activeCell="B14" sqref="B14:J16"/>
    </sheetView>
  </sheetViews>
  <sheetFormatPr defaultRowHeight="14.5" x14ac:dyDescent="0.35"/>
  <sheetData>
    <row r="14" spans="2:10" x14ac:dyDescent="0.35">
      <c r="B14" s="1" t="s">
        <v>19</v>
      </c>
      <c r="G14" s="3">
        <v>5.5289999999999999E-2</v>
      </c>
      <c r="H14" s="4">
        <f>(G14*1.65)*12000</f>
        <v>1094.742</v>
      </c>
      <c r="I14" s="2" t="s">
        <v>22</v>
      </c>
      <c r="J14" s="1"/>
    </row>
    <row r="15" spans="2:10" x14ac:dyDescent="0.35">
      <c r="B15" s="1"/>
      <c r="G15" s="3">
        <v>5.6160000000000002E-2</v>
      </c>
      <c r="H15" s="4">
        <f>(G15*1.43)*12000</f>
        <v>963.7056</v>
      </c>
      <c r="I15" s="2" t="s">
        <v>23</v>
      </c>
      <c r="J15" s="1"/>
    </row>
    <row r="16" spans="2:10" x14ac:dyDescent="0.35">
      <c r="B16" s="1"/>
      <c r="H16" s="5">
        <f>H14-H15</f>
        <v>131.03639999999996</v>
      </c>
      <c r="I16" s="2" t="s">
        <v>20</v>
      </c>
      <c r="J16" s="1"/>
    </row>
    <row r="17" spans="2:10" x14ac:dyDescent="0.35">
      <c r="B17" s="1"/>
      <c r="H17" s="5"/>
      <c r="I17" s="2"/>
      <c r="J17" s="1"/>
    </row>
    <row r="18" spans="2:10" x14ac:dyDescent="0.35">
      <c r="B18" s="1"/>
      <c r="H18" s="4"/>
      <c r="I18" s="2"/>
      <c r="J18" s="1"/>
    </row>
    <row r="19" spans="2:10" x14ac:dyDescent="0.35">
      <c r="B19" s="1"/>
      <c r="H19" s="4"/>
      <c r="I19" s="2"/>
      <c r="J19" s="1"/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E16"/>
  <sheetViews>
    <sheetView workbookViewId="0">
      <selection activeCell="B9" sqref="B9"/>
    </sheetView>
  </sheetViews>
  <sheetFormatPr defaultRowHeight="14.5" x14ac:dyDescent="0.35"/>
  <cols>
    <col min="2" max="2" width="12" bestFit="1" customWidth="1"/>
  </cols>
  <sheetData>
    <row r="1" spans="1:5" x14ac:dyDescent="0.35">
      <c r="A1" s="1" t="s">
        <v>7</v>
      </c>
      <c r="B1">
        <f>TAN(E1*(PI()/180))</f>
        <v>0.57735026918962573</v>
      </c>
      <c r="E1">
        <v>30</v>
      </c>
    </row>
    <row r="2" spans="1:5" x14ac:dyDescent="0.35">
      <c r="A2" s="1" t="s">
        <v>8</v>
      </c>
      <c r="B2">
        <f>SIN(30*PI()/180)</f>
        <v>0.49999999999999994</v>
      </c>
      <c r="E2">
        <v>30</v>
      </c>
    </row>
    <row r="3" spans="1:5" x14ac:dyDescent="0.35">
      <c r="A3" s="1" t="s">
        <v>9</v>
      </c>
      <c r="E3">
        <v>30</v>
      </c>
    </row>
    <row r="5" spans="1:5" x14ac:dyDescent="0.35">
      <c r="B5" t="s">
        <v>138</v>
      </c>
    </row>
    <row r="6" spans="1:5" ht="19.5" customHeight="1" x14ac:dyDescent="0.35">
      <c r="B6">
        <f>COS(E3*(PI()/180))</f>
        <v>0.86602540378443871</v>
      </c>
    </row>
    <row r="16" spans="1:5" x14ac:dyDescent="0.35">
      <c r="B16" t="s">
        <v>30</v>
      </c>
      <c r="C16">
        <f>POWER(4,2)</f>
        <v>16</v>
      </c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"/>
  <sheetViews>
    <sheetView workbookViewId="0"/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12</vt:i4>
      </vt:variant>
      <vt:variant>
        <vt:lpstr>Named Ranges</vt:lpstr>
      </vt:variant>
      <vt:variant>
        <vt:i4>6</vt:i4>
      </vt:variant>
    </vt:vector>
  </HeadingPairs>
  <TitlesOfParts>
    <vt:vector size="18" baseType="lpstr">
      <vt:lpstr>goals</vt:lpstr>
      <vt:lpstr>Intro</vt:lpstr>
      <vt:lpstr>WFS-AMPS</vt:lpstr>
      <vt:lpstr>Travel speed</vt:lpstr>
      <vt:lpstr>Joules</vt:lpstr>
      <vt:lpstr>estimate new parameters</vt:lpstr>
      <vt:lpstr>area of flare bevel</vt:lpstr>
      <vt:lpstr>weld volume</vt:lpstr>
      <vt:lpstr>weld deposit</vt:lpstr>
      <vt:lpstr>cost</vt:lpstr>
      <vt:lpstr>trig func's</vt:lpstr>
      <vt:lpstr>Sheet3</vt:lpstr>
      <vt:lpstr>'area of flare bevel'!Print_Area</vt:lpstr>
      <vt:lpstr>'estimate new parameters'!Print_Area</vt:lpstr>
      <vt:lpstr>Joules!Print_Area</vt:lpstr>
      <vt:lpstr>'Travel speed'!Print_Area</vt:lpstr>
      <vt:lpstr>'weld deposit'!Print_Area</vt:lpstr>
      <vt:lpstr>'weld volume'!Print_Area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Gary</dc:creator>
  <cp:lastModifiedBy>Larry</cp:lastModifiedBy>
  <cp:lastPrinted>2019-08-07T14:08:07Z</cp:lastPrinted>
  <dcterms:created xsi:type="dcterms:W3CDTF">2019-07-27T21:11:54Z</dcterms:created>
  <dcterms:modified xsi:type="dcterms:W3CDTF">2019-09-25T21:30:30Z</dcterms:modified>
</cp:coreProperties>
</file>